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-DRIVEPRO-1/Nos Projets 2018-25/Projet solaire 2023/Projet solaire 2023/"/>
    </mc:Choice>
  </mc:AlternateContent>
  <xr:revisionPtr revIDLastSave="0" documentId="13_ncr:1_{6AC5B427-9CED-4C4E-B11F-E8500FFB80B2}" xr6:coauthVersionLast="47" xr6:coauthVersionMax="47" xr10:uidLastSave="{00000000-0000-0000-0000-000000000000}"/>
  <bookViews>
    <workbookView xWindow="1980" yWindow="800" windowWidth="48080" windowHeight="26540" xr2:uid="{B362D3F5-1F1E-994F-B89C-91FB519E7BA7}"/>
  </bookViews>
  <sheets>
    <sheet name="balance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0" l="1"/>
  <c r="U9" i="10"/>
  <c r="Z9" i="10" s="1"/>
  <c r="T9" i="10"/>
  <c r="Y9" i="10" s="1"/>
  <c r="S9" i="10"/>
  <c r="X9" i="10" s="1"/>
  <c r="P9" i="10"/>
  <c r="Q9" i="10" s="1"/>
  <c r="I9" i="10"/>
  <c r="U8" i="10"/>
  <c r="Z8" i="10" s="1"/>
  <c r="T8" i="10"/>
  <c r="Y8" i="10" s="1"/>
  <c r="S8" i="10"/>
  <c r="X8" i="10" s="1"/>
  <c r="S7" i="10"/>
  <c r="T7" i="10"/>
  <c r="Y7" i="10" s="1"/>
  <c r="U7" i="10"/>
  <c r="Z7" i="10" s="1"/>
  <c r="U6" i="10"/>
  <c r="Z6" i="10" s="1"/>
  <c r="T6" i="10"/>
  <c r="Y6" i="10" s="1"/>
  <c r="S6" i="10"/>
  <c r="V6" i="10" s="1"/>
  <c r="P8" i="10"/>
  <c r="Q8" i="10" s="1"/>
  <c r="P7" i="10"/>
  <c r="Q7" i="10" s="1"/>
  <c r="P6" i="10"/>
  <c r="Q6" i="10" s="1"/>
  <c r="O17" i="10"/>
  <c r="O16" i="10"/>
  <c r="O15" i="10"/>
  <c r="O14" i="10"/>
  <c r="O13" i="10"/>
  <c r="O12" i="10"/>
  <c r="O11" i="10"/>
  <c r="O10" i="10"/>
  <c r="O9" i="10"/>
  <c r="O8" i="10"/>
  <c r="O7" i="10"/>
  <c r="O6" i="10"/>
  <c r="N19" i="10"/>
  <c r="O19" i="10" s="1"/>
  <c r="N18" i="10"/>
  <c r="O18" i="10" s="1"/>
  <c r="I8" i="10"/>
  <c r="I7" i="10"/>
  <c r="I6" i="10"/>
  <c r="V7" i="10" l="1"/>
  <c r="X6" i="10"/>
  <c r="X7" i="10"/>
  <c r="V9" i="10"/>
  <c r="V8" i="10"/>
</calcChain>
</file>

<file path=xl/sharedStrings.xml><?xml version="1.0" encoding="utf-8"?>
<sst xmlns="http://schemas.openxmlformats.org/spreadsheetml/2006/main" count="54" uniqueCount="54">
  <si>
    <t>Mois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</si>
  <si>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</si>
  <si>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</si>
  <si>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</si>
  <si>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</si>
  <si>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</si>
  <si>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</si>
  <si>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</si>
  <si>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</si>
  <si>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</si>
  <si>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</si>
  <si>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</si>
  <si>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</si>
  <si>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Total sur l'année</t>
  </si>
  <si>
    <t xml:space="preserve">Moyenne/mois </t>
  </si>
  <si>
    <t>Période 2024</t>
  </si>
  <si>
    <t>Prod</t>
  </si>
  <si>
    <t>Conso</t>
  </si>
  <si>
    <t>Export</t>
  </si>
  <si>
    <t>Données Enlighten</t>
  </si>
  <si>
    <t>Gain</t>
  </si>
  <si>
    <t>Estimation PVGIS</t>
  </si>
  <si>
    <t xml:space="preserve"> Gain</t>
  </si>
  <si>
    <t>Ecart</t>
  </si>
  <si>
    <t>Réel/Est.</t>
  </si>
  <si>
    <t>7,6 ans</t>
  </si>
  <si>
    <t>10,5 ans</t>
  </si>
  <si>
    <t xml:space="preserve">ROI (estimé) sans la batterie: </t>
  </si>
  <si>
    <t xml:space="preserve">Facture annuelle EDF </t>
  </si>
  <si>
    <t>E_m</t>
  </si>
  <si>
    <t>Energie en kwh/mois</t>
  </si>
  <si>
    <t>réseau</t>
  </si>
  <si>
    <t>Production &amp; Consommation Kerroch: PV = 6,2 KWc/ 5KVA - Batterie = 3,5Kw - Localisation: Bretagne Sud</t>
  </si>
  <si>
    <t>Maison rénovée classée BBC - A+ (11 pieces - 195m2 - 2 étages)</t>
  </si>
  <si>
    <t xml:space="preserve">ROI (estimé) avec la batterie Enphase 3T: </t>
  </si>
  <si>
    <t>Gain annuel estimé sur facture EDF</t>
  </si>
  <si>
    <t>réel</t>
  </si>
  <si>
    <t>Energie en kwh/mois par terrasses</t>
  </si>
  <si>
    <t>Nord</t>
  </si>
  <si>
    <t>Sud</t>
  </si>
  <si>
    <t>Carport</t>
  </si>
  <si>
    <t>somme de contrôle</t>
  </si>
  <si>
    <t>N</t>
  </si>
  <si>
    <t>S</t>
  </si>
  <si>
    <t>C</t>
  </si>
  <si>
    <t>Suivi des productions / terrasses : cacul ratio moyen par PV</t>
  </si>
  <si>
    <t>Import</t>
  </si>
  <si>
    <t>2022.......  2023.      --------&gt;</t>
  </si>
  <si>
    <t>Prod moyen /  par panneau</t>
  </si>
  <si>
    <t>Chargée</t>
  </si>
  <si>
    <t>Déchargée</t>
  </si>
  <si>
    <t>Batterie 3T-3,5 Kw en kwh</t>
  </si>
  <si>
    <t>Nota: début Avril 2024: changement contrat EDF : passage de DigiWatt à Bleu HP/HC Tempo mais je laisse le cout kwh à 0,25..</t>
  </si>
  <si>
    <t>Dependance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</si>
</sst>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\ &quot;€&quot;"/>
  </numFmts>
  <fonts count="18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9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sz val="18"/>
      <color theme="9"/>
      <name val="Calibri"/>
      <family val="2"/>
      <scheme val="minor"/>
    </font>
    <font>
      <b/>
      <sz val="18"/>
      <color theme="5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3" fillId="0" borderId="3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0" xfId="0" applyFont="1"/>
    <xf numFmtId="0" fontId="0" fillId="0" borderId="4" xfId="0" applyBorder="1"/>
    <xf numFmtId="164" fontId="5" fillId="0" borderId="9" xfId="0" applyNumberFormat="1" applyFont="1" applyBorder="1"/>
    <xf numFmtId="3" fontId="4" fillId="0" borderId="7" xfId="0" applyNumberFormat="1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0" xfId="0" applyFont="1" applyBorder="1"/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1" fillId="2" borderId="6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/>
    </xf>
    <xf numFmtId="2" fontId="4" fillId="5" borderId="2" xfId="1" applyNumberFormat="1" applyFont="1" applyFill="1" applyBorder="1" applyAlignment="1">
      <alignment horizontal="center" vertical="center"/>
    </xf>
    <xf numFmtId="9" fontId="4" fillId="5" borderId="2" xfId="1" applyFont="1" applyFill="1" applyBorder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6" borderId="3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4" xfId="0" applyNumberFormat="1" applyFont="1" applyFill="1" applyBorder="1" applyAlignment="1">
      <alignment horizontal="right"/>
    </xf>
    <xf numFmtId="0" fontId="9" fillId="6" borderId="4" xfId="0" applyFont="1" applyFill="1" applyBorder="1"/>
    <xf numFmtId="0" fontId="8" fillId="6" borderId="8" xfId="0" applyFont="1" applyFill="1" applyBorder="1"/>
    <xf numFmtId="0" fontId="8" fillId="6" borderId="9" xfId="0" applyFont="1" applyFill="1" applyBorder="1" applyAlignment="1">
      <alignment horizontal="center"/>
    </xf>
    <xf numFmtId="3" fontId="8" fillId="6" borderId="9" xfId="0" applyNumberFormat="1" applyFont="1" applyFill="1" applyBorder="1" applyAlignment="1">
      <alignment horizontal="right"/>
    </xf>
    <xf numFmtId="0" fontId="9" fillId="6" borderId="9" xfId="0" applyFont="1" applyFill="1" applyBorder="1"/>
    <xf numFmtId="0" fontId="6" fillId="0" borderId="0" xfId="0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9" fontId="13" fillId="0" borderId="9" xfId="1" applyFont="1" applyBorder="1" applyAlignment="1">
      <alignment horizontal="center"/>
    </xf>
    <xf numFmtId="0" fontId="4" fillId="4" borderId="6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/>
    </xf>
    <xf numFmtId="2" fontId="4" fillId="4" borderId="2" xfId="1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/>
    </xf>
    <xf numFmtId="2" fontId="4" fillId="2" borderId="2" xfId="1" applyNumberFormat="1" applyFont="1" applyFill="1" applyBorder="1" applyAlignment="1">
      <alignment horizontal="center" vertical="center"/>
    </xf>
    <xf numFmtId="9" fontId="4" fillId="2" borderId="2" xfId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/>
    </xf>
    <xf numFmtId="3" fontId="11" fillId="2" borderId="11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/>
    </xf>
    <xf numFmtId="2" fontId="9" fillId="3" borderId="2" xfId="1" applyNumberFormat="1" applyFont="1" applyFill="1" applyBorder="1" applyAlignment="1">
      <alignment horizontal="center" vertical="center"/>
    </xf>
    <xf numFmtId="9" fontId="9" fillId="3" borderId="2" xfId="1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/>
    </xf>
    <xf numFmtId="0" fontId="9" fillId="6" borderId="5" xfId="0" applyFont="1" applyFill="1" applyBorder="1"/>
    <xf numFmtId="0" fontId="9" fillId="6" borderId="10" xfId="0" applyFont="1" applyFill="1" applyBorder="1"/>
    <xf numFmtId="0" fontId="0" fillId="0" borderId="7" xfId="0" applyBorder="1"/>
    <xf numFmtId="0" fontId="3" fillId="0" borderId="5" xfId="0" applyFont="1" applyBorder="1" applyAlignment="1">
      <alignment horizontal="center" vertical="center"/>
    </xf>
    <xf numFmtId="3" fontId="2" fillId="7" borderId="3" xfId="0" applyNumberFormat="1" applyFont="1" applyFill="1" applyBorder="1" applyAlignment="1">
      <alignment horizontal="center"/>
    </xf>
    <xf numFmtId="165" fontId="7" fillId="7" borderId="4" xfId="0" applyNumberFormat="1" applyFont="1" applyFill="1" applyBorder="1"/>
    <xf numFmtId="0" fontId="0" fillId="7" borderId="5" xfId="0" applyFill="1" applyBorder="1"/>
    <xf numFmtId="3" fontId="2" fillId="7" borderId="8" xfId="0" applyNumberFormat="1" applyFont="1" applyFill="1" applyBorder="1" applyAlignment="1">
      <alignment horizontal="center"/>
    </xf>
    <xf numFmtId="165" fontId="7" fillId="7" borderId="9" xfId="0" applyNumberFormat="1" applyFont="1" applyFill="1" applyBorder="1"/>
    <xf numFmtId="0" fontId="0" fillId="7" borderId="10" xfId="0" applyFill="1" applyBorder="1"/>
    <xf numFmtId="165" fontId="4" fillId="0" borderId="4" xfId="0" applyNumberFormat="1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9" fontId="0" fillId="0" borderId="0" xfId="1" applyFont="1" applyAlignment="1">
      <alignment horizontal="center"/>
    </xf>
    <xf numFmtId="4" fontId="4" fillId="5" borderId="11" xfId="0" applyNumberFormat="1" applyFont="1" applyFill="1" applyBorder="1" applyAlignment="1">
      <alignment horizontal="center"/>
    </xf>
    <xf numFmtId="4" fontId="4" fillId="5" borderId="2" xfId="1" applyNumberFormat="1" applyFont="1" applyFill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center"/>
    </xf>
    <xf numFmtId="4" fontId="4" fillId="4" borderId="2" xfId="1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/>
    </xf>
    <xf numFmtId="4" fontId="9" fillId="3" borderId="2" xfId="1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right"/>
    </xf>
    <xf numFmtId="3" fontId="8" fillId="6" borderId="8" xfId="0" applyNumberFormat="1" applyFont="1" applyFill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5" xfId="0" applyFont="1" applyBorder="1" applyAlignment="1">
      <alignment vertical="center"/>
    </xf>
    <xf numFmtId="165" fontId="4" fillId="3" borderId="7" xfId="0" applyNumberFormat="1" applyFont="1" applyFill="1" applyBorder="1" applyAlignment="1">
      <alignment horizontal="center"/>
    </xf>
    <xf numFmtId="1" fontId="4" fillId="5" borderId="2" xfId="1" applyNumberFormat="1" applyFont="1" applyFill="1" applyBorder="1" applyAlignment="1">
      <alignment horizontal="center" vertical="center"/>
    </xf>
    <xf numFmtId="1" fontId="4" fillId="4" borderId="2" xfId="1" applyNumberFormat="1" applyFont="1" applyFill="1" applyBorder="1" applyAlignment="1">
      <alignment horizontal="center" vertical="center"/>
    </xf>
    <xf numFmtId="1" fontId="9" fillId="3" borderId="2" xfId="1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2" fontId="15" fillId="0" borderId="6" xfId="0" applyNumberFormat="1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29" xfId="0" applyBorder="1"/>
    <xf numFmtId="0" fontId="4" fillId="0" borderId="21" xfId="0" applyFont="1" applyBorder="1"/>
    <xf numFmtId="0" fontId="16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4" xfId="0" applyFont="1" applyBorder="1"/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5" fontId="12" fillId="0" borderId="0" xfId="0" applyNumberFormat="1" applyFont="1" applyBorder="1"/>
    <xf numFmtId="0" fontId="3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4" fillId="0" borderId="6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Fill="1"/>
    <xf numFmtId="164" fontId="5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2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Données mensuelles 2024:  Production, Consommation, Export, Import et Estimation PVGIS Em</a:t>
            </a:r>
          </a:p>
        </c:rich>
      </c:tx>
      <c:layout>
        <c:manualLayout>
          <c:xMode val="edge"/>
          <c:yMode val="edge"/>
          <c:x val="0.33873772823784154"/>
          <c:y val="8.34105653382761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1292870874083488E-2"/>
          <c:y val="3.3426984740901833E-2"/>
          <c:w val="0.97040098851482193"/>
          <c:h val="0.89247276203542214"/>
        </c:manualLayout>
      </c:layout>
      <c:lineChart>
        <c:grouping val="standard"/>
        <c:varyColors val="0"/>
        <c:ser>
          <c:idx val="0"/>
          <c:order val="0"/>
          <c:tx>
            <c:strRef>
              <c:f>balance!$D$5</c:f>
              <c:strCache>
                <c:ptCount val="1"/>
                <c:pt idx="0">
                  <c:v>Prod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balance!$B$6:$B$17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balance!$D$6:$D$17</c:f>
              <c:numCache>
                <c:formatCode>#,##0</c:formatCode>
                <c:ptCount val="12"/>
                <c:pt idx="0">
                  <c:v>185.3</c:v>
                </c:pt>
                <c:pt idx="1">
                  <c:v>216.3</c:v>
                </c:pt>
                <c:pt idx="2">
                  <c:v>508.2</c:v>
                </c:pt>
                <c:pt idx="3">
                  <c:v>692.6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4-FF45-891A-176BD604019E}"/>
            </c:ext>
          </c:extLst>
        </c:ser>
        <c:ser>
          <c:idx val="1"/>
          <c:order val="1"/>
          <c:tx>
            <c:strRef>
              <c:f>balance!$E$5</c:f>
              <c:strCache>
                <c:ptCount val="1"/>
                <c:pt idx="0">
                  <c:v>Conso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balance!$B$6:$B$17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balance!$E$6:$E$17</c:f>
              <c:numCache>
                <c:formatCode>#,##0</c:formatCode>
                <c:ptCount val="12"/>
                <c:pt idx="0">
                  <c:v>1600</c:v>
                </c:pt>
                <c:pt idx="1">
                  <c:v>1600</c:v>
                </c:pt>
                <c:pt idx="2">
                  <c:v>1600</c:v>
                </c:pt>
                <c:pt idx="3">
                  <c:v>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4-FF45-891A-176BD604019E}"/>
            </c:ext>
          </c:extLst>
        </c:ser>
        <c:ser>
          <c:idx val="2"/>
          <c:order val="2"/>
          <c:tx>
            <c:strRef>
              <c:f>balance!$F$5</c:f>
              <c:strCache>
                <c:ptCount val="1"/>
                <c:pt idx="0">
                  <c:v>Export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balance!$B$6:$B$17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balance!$F$6:$F$17</c:f>
              <c:numCache>
                <c:formatCode>0.00</c:formatCode>
                <c:ptCount val="12"/>
                <c:pt idx="0">
                  <c:v>1.4</c:v>
                </c:pt>
                <c:pt idx="1">
                  <c:v>1.5</c:v>
                </c:pt>
                <c:pt idx="2">
                  <c:v>43.7</c:v>
                </c:pt>
                <c:pt idx="3">
                  <c:v>142.19999999999999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4-FF45-891A-176BD604019E}"/>
            </c:ext>
          </c:extLst>
        </c:ser>
        <c:ser>
          <c:idx val="3"/>
          <c:order val="3"/>
          <c:tx>
            <c:strRef>
              <c:f>balance!$G$5</c:f>
              <c:strCache>
                <c:ptCount val="1"/>
                <c:pt idx="0">
                  <c:v>Import</c:v>
                </c:pt>
              </c:strCache>
            </c:strRef>
          </c:tx>
          <c:spPr>
            <a:ln w="50800" cap="rnd">
              <a:solidFill>
                <a:srgbClr val="7030A0">
                  <a:alpha val="44000"/>
                </a:srgb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balance!$B$6:$B$17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balance!$G$6:$G$17</c:f>
              <c:numCache>
                <c:formatCode>0</c:formatCode>
                <c:ptCount val="12"/>
                <c:pt idx="0">
                  <c:v>1400</c:v>
                </c:pt>
                <c:pt idx="1">
                  <c:v>1400</c:v>
                </c:pt>
                <c:pt idx="2">
                  <c:v>1100</c:v>
                </c:pt>
                <c:pt idx="3">
                  <c:v>749.7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04-FF45-891A-176BD604019E}"/>
            </c:ext>
          </c:extLst>
        </c:ser>
        <c:ser>
          <c:idx val="4"/>
          <c:order val="4"/>
          <c:tx>
            <c:strRef>
              <c:f>balance!$N$5</c:f>
              <c:strCache>
                <c:ptCount val="1"/>
                <c:pt idx="0">
                  <c:v>E_m</c:v>
                </c:pt>
              </c:strCache>
            </c:strRef>
          </c:tx>
          <c:spPr>
            <a:ln w="508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balance!$B$6:$B$17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balance!$N$6:$N$17</c:f>
              <c:numCache>
                <c:formatCode>#,##0</c:formatCode>
                <c:ptCount val="12"/>
                <c:pt idx="0">
                  <c:v>205.1</c:v>
                </c:pt>
                <c:pt idx="1">
                  <c:v>331.7</c:v>
                </c:pt>
                <c:pt idx="2">
                  <c:v>550.29999999999995</c:v>
                </c:pt>
                <c:pt idx="3">
                  <c:v>767</c:v>
                </c:pt>
                <c:pt idx="4">
                  <c:v>869.7</c:v>
                </c:pt>
                <c:pt idx="5">
                  <c:v>899.4</c:v>
                </c:pt>
                <c:pt idx="6">
                  <c:v>916.1</c:v>
                </c:pt>
                <c:pt idx="7">
                  <c:v>807.8</c:v>
                </c:pt>
                <c:pt idx="8">
                  <c:v>645.6</c:v>
                </c:pt>
                <c:pt idx="9">
                  <c:v>409.9</c:v>
                </c:pt>
                <c:pt idx="10">
                  <c:v>251.1</c:v>
                </c:pt>
                <c:pt idx="11">
                  <c:v>183.1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04-FF45-891A-176BD60401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5267807"/>
        <c:axId val="1474804623"/>
      </c:lineChart>
      <c:catAx>
        <c:axId val="1475267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4804623"/>
        <c:crosses val="autoZero"/>
        <c:auto val="1"/>
        <c:lblAlgn val="ctr"/>
        <c:lblOffset val="100"/>
        <c:noMultiLvlLbl val="0"/>
      </c:catAx>
      <c:valAx>
        <c:axId val="1474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526780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 w="12700">
          <a:solidFill>
            <a:schemeClr val="accent1">
              <a:alpha val="51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7755492073428523"/>
          <c:y val="0.96026402399422051"/>
          <c:w val="0.3944600191069263"/>
          <c:h val="2.8614567294009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glow rad="101600">
        <a:schemeClr val="accent3">
          <a:satMod val="175000"/>
          <a:alpha val="40000"/>
        </a:schemeClr>
      </a:glow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26</xdr:col>
      <xdr:colOff>25400</xdr:colOff>
      <xdr:row>84</xdr:row>
      <xdr:rowOff>190500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D0697BB-2B6F-6268-5667-7B4841635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4838-2899-7A47-9A96-7615F11763FE}">
  <dimension ref="B1:Z40"/>
  <sheetViews>
    <sheetView tabSelected="1" workbookViewId="0">
      <selection activeCell="AB39" sqref="AB39"/>
    </sheetView>
  </sheetViews>
  <sheetFormatPr baseColWidth="10" defaultRowHeight="16" x14ac:dyDescent="0.2"/>
  <cols>
    <col min="1" max="1" width="5" customWidth="1"/>
    <col min="2" max="2" width="20.6640625" customWidth="1"/>
    <col min="3" max="3" width="14.1640625" bestFit="1" customWidth="1"/>
    <col min="4" max="4" width="16.5" customWidth="1"/>
    <col min="5" max="9" width="15.1640625" customWidth="1"/>
    <col min="10" max="10" width="1.83203125" style="167" customWidth="1"/>
    <col min="11" max="11" width="10" customWidth="1"/>
    <col min="12" max="12" width="11.33203125" customWidth="1"/>
    <col min="13" max="13" width="1.83203125" style="116" customWidth="1"/>
    <col min="14" max="14" width="13.33203125" customWidth="1"/>
    <col min="15" max="15" width="11" customWidth="1"/>
    <col min="16" max="16" width="13.1640625" customWidth="1"/>
    <col min="17" max="17" width="6.6640625" customWidth="1"/>
    <col min="18" max="18" width="2" customWidth="1"/>
    <col min="19" max="20" width="12" customWidth="1"/>
    <col min="21" max="21" width="13" customWidth="1"/>
    <col min="23" max="23" width="2.1640625" customWidth="1"/>
    <col min="27" max="27" width="2.6640625" customWidth="1"/>
    <col min="28" max="28" width="13.33203125" customWidth="1"/>
    <col min="29" max="29" width="14.33203125" customWidth="1"/>
  </cols>
  <sheetData>
    <row r="1" spans="2:26" ht="24" x14ac:dyDescent="0.3">
      <c r="B1" s="1"/>
      <c r="C1" s="1"/>
      <c r="D1" s="1"/>
      <c r="E1" s="1"/>
      <c r="F1" s="1"/>
      <c r="G1" s="1"/>
      <c r="H1" s="1"/>
      <c r="I1" s="1"/>
      <c r="J1" s="159"/>
      <c r="K1" s="1"/>
      <c r="L1" s="1"/>
      <c r="M1" s="136"/>
      <c r="N1" s="1"/>
      <c r="O1" s="1"/>
    </row>
    <row r="2" spans="2:26" ht="25" thickBot="1" x14ac:dyDescent="0.35">
      <c r="B2" s="10" t="s">
        <v>32</v>
      </c>
      <c r="C2" s="1"/>
      <c r="D2" s="1"/>
      <c r="E2" s="1"/>
      <c r="F2" s="1"/>
      <c r="G2" s="1"/>
      <c r="H2" s="1"/>
      <c r="I2" s="1"/>
      <c r="J2" s="159"/>
      <c r="K2" s="1"/>
      <c r="L2" s="1"/>
      <c r="M2" s="136"/>
      <c r="N2" s="1"/>
      <c r="O2" s="1"/>
    </row>
    <row r="3" spans="2:26" ht="25" thickBot="1" x14ac:dyDescent="0.35">
      <c r="B3" s="1" t="s">
        <v>33</v>
      </c>
      <c r="C3" s="1"/>
      <c r="D3" s="1"/>
      <c r="E3" s="1"/>
      <c r="F3" s="1"/>
      <c r="G3" s="1"/>
      <c r="H3" s="1"/>
      <c r="I3" s="12">
        <v>0.25159999999999999</v>
      </c>
      <c r="J3" s="160"/>
      <c r="K3" s="117" t="s">
        <v>51</v>
      </c>
      <c r="L3" s="118"/>
      <c r="N3" s="1"/>
      <c r="O3" s="1"/>
      <c r="S3" s="148" t="s">
        <v>45</v>
      </c>
      <c r="T3" s="149"/>
      <c r="U3" s="149"/>
      <c r="V3" s="149"/>
      <c r="W3" s="149"/>
      <c r="X3" s="149"/>
      <c r="Y3" s="149"/>
      <c r="Z3" s="150"/>
    </row>
    <row r="4" spans="2:26" ht="25" thickBot="1" x14ac:dyDescent="0.35">
      <c r="B4" s="102" t="s">
        <v>19</v>
      </c>
      <c r="C4" s="103"/>
      <c r="D4" s="25" t="s">
        <v>30</v>
      </c>
      <c r="E4" s="26"/>
      <c r="F4" s="27"/>
      <c r="G4" s="104"/>
      <c r="H4" s="168" t="s">
        <v>53</v>
      </c>
      <c r="I4" s="75" t="s">
        <v>20</v>
      </c>
      <c r="J4" s="161"/>
      <c r="K4" s="145"/>
      <c r="L4" s="147"/>
      <c r="M4" s="139"/>
      <c r="N4" s="6" t="s">
        <v>21</v>
      </c>
      <c r="O4" s="3"/>
      <c r="P4" s="75" t="s">
        <v>23</v>
      </c>
      <c r="S4" s="142" t="s">
        <v>37</v>
      </c>
      <c r="T4" s="143"/>
      <c r="U4" s="143"/>
      <c r="V4" s="144"/>
      <c r="X4" s="145" t="s">
        <v>48</v>
      </c>
      <c r="Y4" s="146"/>
      <c r="Z4" s="147"/>
    </row>
    <row r="5" spans="2:26" ht="27" thickBot="1" x14ac:dyDescent="0.35">
      <c r="B5" s="14" t="s">
        <v>15</v>
      </c>
      <c r="C5" s="15" t="s">
        <v>0</v>
      </c>
      <c r="D5" s="16" t="s">
        <v>16</v>
      </c>
      <c r="E5" s="17" t="s">
        <v>17</v>
      </c>
      <c r="F5" s="15" t="s">
        <v>18</v>
      </c>
      <c r="G5" s="15" t="s">
        <v>46</v>
      </c>
      <c r="H5" s="15" t="s">
        <v>31</v>
      </c>
      <c r="I5" s="18" t="s">
        <v>36</v>
      </c>
      <c r="J5" s="161"/>
      <c r="K5" s="128" t="s">
        <v>49</v>
      </c>
      <c r="L5" s="131" t="s">
        <v>50</v>
      </c>
      <c r="M5" s="140"/>
      <c r="N5" s="20" t="s">
        <v>29</v>
      </c>
      <c r="O5" s="83" t="s">
        <v>22</v>
      </c>
      <c r="P5" s="84" t="s">
        <v>24</v>
      </c>
      <c r="S5" s="119" t="s">
        <v>38</v>
      </c>
      <c r="T5" s="122" t="s">
        <v>39</v>
      </c>
      <c r="U5" s="123" t="s">
        <v>40</v>
      </c>
      <c r="V5" s="124" t="s">
        <v>41</v>
      </c>
      <c r="X5" s="119" t="s">
        <v>42</v>
      </c>
      <c r="Y5" s="120" t="s">
        <v>43</v>
      </c>
      <c r="Z5" s="121" t="s">
        <v>44</v>
      </c>
    </row>
    <row r="6" spans="2:26" ht="24" x14ac:dyDescent="0.3">
      <c r="B6" s="28" t="s">
        <v>12</v>
      </c>
      <c r="C6" s="29">
        <v>1</v>
      </c>
      <c r="D6" s="30">
        <v>185.3</v>
      </c>
      <c r="E6" s="31">
        <v>1600</v>
      </c>
      <c r="F6" s="32">
        <v>1.4</v>
      </c>
      <c r="G6" s="106">
        <v>1400</v>
      </c>
      <c r="H6" s="33">
        <v>0.89</v>
      </c>
      <c r="I6" s="34">
        <f>D6*$I$3</f>
        <v>46.621479999999998</v>
      </c>
      <c r="J6" s="162"/>
      <c r="K6" s="132">
        <v>28.4</v>
      </c>
      <c r="L6" s="133">
        <v>21.2</v>
      </c>
      <c r="M6" s="137"/>
      <c r="N6" s="22">
        <v>205.1</v>
      </c>
      <c r="O6" s="141">
        <f>N6*$I$3</f>
        <v>51.603159999999995</v>
      </c>
      <c r="P6" s="13">
        <f>D6-N6</f>
        <v>-19.799999999999983</v>
      </c>
      <c r="Q6" s="85">
        <f>P6/N6</f>
        <v>-9.6538274012676659E-2</v>
      </c>
      <c r="R6" s="85"/>
      <c r="S6" s="95">
        <f>4.99+4.63+5.25</f>
        <v>14.870000000000001</v>
      </c>
      <c r="T6" s="86">
        <f>16.4+16.3+16.2+16.1+16.9+17.1+17.2+17</f>
        <v>133.19999999999999</v>
      </c>
      <c r="U6" s="87">
        <f>7.33+7.57+7.56+16.6</f>
        <v>39.06</v>
      </c>
      <c r="V6" s="125">
        <f>S6+T6+U6</f>
        <v>187.13</v>
      </c>
      <c r="X6" s="112">
        <f>S6/3</f>
        <v>4.956666666666667</v>
      </c>
      <c r="Y6" s="113">
        <f>T6/8</f>
        <v>16.649999999999999</v>
      </c>
      <c r="Z6" s="114">
        <f>U6/4</f>
        <v>9.7650000000000006</v>
      </c>
    </row>
    <row r="7" spans="2:26" ht="24" x14ac:dyDescent="0.3">
      <c r="B7" s="28" t="s">
        <v>11</v>
      </c>
      <c r="C7" s="29">
        <v>2</v>
      </c>
      <c r="D7" s="30">
        <v>216.3</v>
      </c>
      <c r="E7" s="31">
        <v>1600</v>
      </c>
      <c r="F7" s="32">
        <v>1.5</v>
      </c>
      <c r="G7" s="106">
        <v>1400</v>
      </c>
      <c r="H7" s="33">
        <v>0.87</v>
      </c>
      <c r="I7" s="34">
        <f t="shared" ref="I7:I9" si="0">D7*$I$3</f>
        <v>54.421080000000003</v>
      </c>
      <c r="J7" s="162"/>
      <c r="K7" s="132">
        <v>22.2</v>
      </c>
      <c r="L7" s="134">
        <v>15.5</v>
      </c>
      <c r="M7" s="137"/>
      <c r="N7" s="22">
        <v>331.7</v>
      </c>
      <c r="O7" s="141">
        <f t="shared" ref="O7:O19" si="1">N7*$I$3</f>
        <v>83.455719999999999</v>
      </c>
      <c r="P7" s="13">
        <f>D7-N7</f>
        <v>-115.39999999999998</v>
      </c>
      <c r="Q7" s="85">
        <f t="shared" ref="Q7:Q8" si="2">P7/N7</f>
        <v>-0.34790473319264392</v>
      </c>
      <c r="R7" s="85"/>
      <c r="S7" s="95">
        <f>7.64+6.88+7.59</f>
        <v>22.11</v>
      </c>
      <c r="T7" s="86">
        <f>17.5+17.4+17.4+17.1+17.4+17.6+17.6+17.4</f>
        <v>139.4</v>
      </c>
      <c r="U7" s="87">
        <f>14+13.7+13.5+16.6</f>
        <v>57.800000000000004</v>
      </c>
      <c r="V7" s="125">
        <f>S7+T7+U7</f>
        <v>219.31</v>
      </c>
      <c r="X7" s="112">
        <f>S7/3</f>
        <v>7.37</v>
      </c>
      <c r="Y7" s="113">
        <f>T7/8</f>
        <v>17.425000000000001</v>
      </c>
      <c r="Z7" s="114">
        <f>U7/4</f>
        <v>14.450000000000001</v>
      </c>
    </row>
    <row r="8" spans="2:26" ht="24" x14ac:dyDescent="0.3">
      <c r="B8" s="48" t="s">
        <v>10</v>
      </c>
      <c r="C8" s="49">
        <v>3</v>
      </c>
      <c r="D8" s="50">
        <v>508.2</v>
      </c>
      <c r="E8" s="51">
        <v>1600</v>
      </c>
      <c r="F8" s="52">
        <v>43.7</v>
      </c>
      <c r="G8" s="107">
        <v>1100</v>
      </c>
      <c r="H8" s="53">
        <v>0.71</v>
      </c>
      <c r="I8" s="54">
        <f t="shared" si="0"/>
        <v>127.86312</v>
      </c>
      <c r="J8" s="162"/>
      <c r="K8" s="132">
        <v>95.7</v>
      </c>
      <c r="L8" s="134">
        <v>83.4</v>
      </c>
      <c r="M8" s="137"/>
      <c r="N8" s="24">
        <v>550.29999999999995</v>
      </c>
      <c r="O8" s="141">
        <f t="shared" si="1"/>
        <v>138.45547999999999</v>
      </c>
      <c r="P8" s="13">
        <f>D8-N8</f>
        <v>-42.099999999999966</v>
      </c>
      <c r="Q8" s="85">
        <f t="shared" si="2"/>
        <v>-7.6503725240777698E-2</v>
      </c>
      <c r="R8" s="85"/>
      <c r="S8" s="96">
        <f>22.7+19.7+22.3</f>
        <v>64.7</v>
      </c>
      <c r="T8" s="88">
        <f>38.5+38.3+38.2+36.6+38.4+38.6+38.6+38</f>
        <v>305.2</v>
      </c>
      <c r="U8" s="89">
        <f>36.6+37.1+36.8+37.4</f>
        <v>147.9</v>
      </c>
      <c r="V8" s="125">
        <f>S8+T8+U8</f>
        <v>517.79999999999995</v>
      </c>
      <c r="X8" s="112">
        <f>S8/3</f>
        <v>21.566666666666666</v>
      </c>
      <c r="Y8" s="113">
        <f>T8/8</f>
        <v>38.15</v>
      </c>
      <c r="Z8" s="114">
        <f>U8/4</f>
        <v>36.975000000000001</v>
      </c>
    </row>
    <row r="9" spans="2:26" ht="24" x14ac:dyDescent="0.3">
      <c r="B9" s="65" t="s">
        <v>9</v>
      </c>
      <c r="C9" s="66">
        <v>4</v>
      </c>
      <c r="D9" s="67">
        <v>692.6</v>
      </c>
      <c r="E9" s="68">
        <v>1300</v>
      </c>
      <c r="F9" s="69">
        <v>142.19999999999999</v>
      </c>
      <c r="G9" s="108">
        <v>749.7</v>
      </c>
      <c r="H9" s="70">
        <v>0.57999999999999996</v>
      </c>
      <c r="I9" s="105">
        <f t="shared" si="0"/>
        <v>174.25816</v>
      </c>
      <c r="J9" s="162"/>
      <c r="K9" s="132">
        <v>120</v>
      </c>
      <c r="L9" s="134">
        <v>104</v>
      </c>
      <c r="M9" s="137"/>
      <c r="N9" s="23">
        <v>767</v>
      </c>
      <c r="O9" s="141">
        <f t="shared" si="1"/>
        <v>192.97719999999998</v>
      </c>
      <c r="P9" s="13">
        <f>D9-N9</f>
        <v>-74.399999999999977</v>
      </c>
      <c r="Q9" s="85">
        <f>P9/N9</f>
        <v>-9.7001303780964762E-2</v>
      </c>
      <c r="R9" s="85"/>
      <c r="S9" s="97">
        <f>36.6+37.3+41.1</f>
        <v>115</v>
      </c>
      <c r="T9" s="90">
        <f>50+49.6+49.3+45.6+49.7+49.9+49.8+48.9</f>
        <v>392.79999999999995</v>
      </c>
      <c r="U9" s="91">
        <f>48.6+48.8+49.5+51</f>
        <v>197.9</v>
      </c>
      <c r="V9" s="125">
        <f>S9+T9+U9</f>
        <v>705.69999999999993</v>
      </c>
      <c r="X9" s="112">
        <f>S9/3</f>
        <v>38.333333333333336</v>
      </c>
      <c r="Y9" s="113">
        <f>T9/8</f>
        <v>49.099999999999994</v>
      </c>
      <c r="Z9" s="114">
        <f>U9/4</f>
        <v>49.475000000000001</v>
      </c>
    </row>
    <row r="10" spans="2:26" ht="24" x14ac:dyDescent="0.3">
      <c r="B10" s="65" t="s">
        <v>8</v>
      </c>
      <c r="C10" s="66">
        <v>5</v>
      </c>
      <c r="D10" s="67"/>
      <c r="E10" s="68"/>
      <c r="F10" s="69"/>
      <c r="G10" s="108"/>
      <c r="H10" s="70"/>
      <c r="I10" s="71"/>
      <c r="J10" s="163"/>
      <c r="K10" s="115"/>
      <c r="L10" s="129"/>
      <c r="N10" s="23">
        <v>869.7</v>
      </c>
      <c r="O10" s="141">
        <f t="shared" si="1"/>
        <v>218.81652</v>
      </c>
      <c r="P10" s="74"/>
      <c r="S10" s="97"/>
      <c r="T10" s="90"/>
      <c r="U10" s="91"/>
      <c r="V10" s="126"/>
      <c r="X10" s="115"/>
      <c r="Y10" s="116"/>
      <c r="Z10" s="74"/>
    </row>
    <row r="11" spans="2:26" ht="24" x14ac:dyDescent="0.3">
      <c r="B11" s="65" t="s">
        <v>7</v>
      </c>
      <c r="C11" s="66">
        <v>6</v>
      </c>
      <c r="D11" s="67"/>
      <c r="E11" s="68"/>
      <c r="F11" s="69"/>
      <c r="G11" s="108"/>
      <c r="H11" s="70"/>
      <c r="I11" s="71"/>
      <c r="J11" s="163"/>
      <c r="K11" s="115"/>
      <c r="L11" s="129"/>
      <c r="N11" s="23">
        <v>899.4</v>
      </c>
      <c r="O11" s="141">
        <f t="shared" si="1"/>
        <v>226.28903999999997</v>
      </c>
      <c r="P11" s="74"/>
      <c r="S11" s="97"/>
      <c r="T11" s="90"/>
      <c r="U11" s="91"/>
      <c r="V11" s="126"/>
      <c r="X11" s="115"/>
      <c r="Y11" s="116"/>
      <c r="Z11" s="74"/>
    </row>
    <row r="12" spans="2:26" ht="24" x14ac:dyDescent="0.3">
      <c r="B12" s="65" t="s">
        <v>6</v>
      </c>
      <c r="C12" s="66">
        <v>7</v>
      </c>
      <c r="D12" s="67"/>
      <c r="E12" s="68"/>
      <c r="F12" s="69"/>
      <c r="G12" s="108"/>
      <c r="H12" s="70"/>
      <c r="I12" s="71"/>
      <c r="J12" s="163"/>
      <c r="K12" s="115"/>
      <c r="L12" s="129"/>
      <c r="N12" s="23">
        <v>916.1</v>
      </c>
      <c r="O12" s="141">
        <f t="shared" si="1"/>
        <v>230.49075999999999</v>
      </c>
      <c r="P12" s="74"/>
      <c r="S12" s="97"/>
      <c r="T12" s="90"/>
      <c r="U12" s="91"/>
      <c r="V12" s="126"/>
      <c r="X12" s="115"/>
      <c r="Y12" s="116"/>
      <c r="Z12" s="74"/>
    </row>
    <row r="13" spans="2:26" ht="24" x14ac:dyDescent="0.3">
      <c r="B13" s="65" t="s">
        <v>5</v>
      </c>
      <c r="C13" s="66">
        <v>8</v>
      </c>
      <c r="D13" s="67"/>
      <c r="E13" s="68"/>
      <c r="F13" s="69"/>
      <c r="G13" s="108"/>
      <c r="H13" s="70"/>
      <c r="I13" s="71"/>
      <c r="J13" s="163"/>
      <c r="K13" s="115"/>
      <c r="L13" s="129"/>
      <c r="N13" s="23">
        <v>807.8</v>
      </c>
      <c r="O13" s="141">
        <f t="shared" si="1"/>
        <v>203.24247999999997</v>
      </c>
      <c r="P13" s="74"/>
      <c r="S13" s="97"/>
      <c r="T13" s="90"/>
      <c r="U13" s="91"/>
      <c r="V13" s="126"/>
      <c r="X13" s="115"/>
      <c r="Y13" s="116"/>
      <c r="Z13" s="74"/>
    </row>
    <row r="14" spans="2:26" ht="24" x14ac:dyDescent="0.3">
      <c r="B14" s="65" t="s">
        <v>4</v>
      </c>
      <c r="C14" s="66">
        <v>9</v>
      </c>
      <c r="D14" s="67"/>
      <c r="E14" s="68"/>
      <c r="F14" s="69"/>
      <c r="G14" s="108"/>
      <c r="H14" s="70"/>
      <c r="I14" s="71"/>
      <c r="J14" s="163"/>
      <c r="K14" s="115"/>
      <c r="L14" s="129"/>
      <c r="N14" s="23">
        <v>645.6</v>
      </c>
      <c r="O14" s="141">
        <f t="shared" si="1"/>
        <v>162.43296000000001</v>
      </c>
      <c r="P14" s="74"/>
      <c r="S14" s="97"/>
      <c r="T14" s="90"/>
      <c r="U14" s="91"/>
      <c r="V14" s="126"/>
      <c r="X14" s="115"/>
      <c r="Y14" s="116"/>
      <c r="Z14" s="74"/>
    </row>
    <row r="15" spans="2:26" ht="24" x14ac:dyDescent="0.3">
      <c r="B15" s="48" t="s">
        <v>3</v>
      </c>
      <c r="C15" s="49">
        <v>10</v>
      </c>
      <c r="D15" s="55"/>
      <c r="E15" s="51"/>
      <c r="F15" s="52"/>
      <c r="G15" s="107"/>
      <c r="H15" s="53"/>
      <c r="I15" s="56"/>
      <c r="J15" s="164"/>
      <c r="K15" s="115"/>
      <c r="L15" s="129"/>
      <c r="N15" s="24">
        <v>409.9</v>
      </c>
      <c r="O15" s="141">
        <f t="shared" si="1"/>
        <v>103.13083999999999</v>
      </c>
      <c r="P15" s="74"/>
      <c r="S15" s="98"/>
      <c r="T15" s="88"/>
      <c r="U15" s="89"/>
      <c r="V15" s="126"/>
      <c r="X15" s="115"/>
      <c r="Y15" s="116"/>
      <c r="Z15" s="74"/>
    </row>
    <row r="16" spans="2:26" ht="24" x14ac:dyDescent="0.3">
      <c r="B16" s="57" t="s">
        <v>2</v>
      </c>
      <c r="C16" s="58">
        <v>11</v>
      </c>
      <c r="D16" s="59"/>
      <c r="E16" s="60"/>
      <c r="F16" s="61"/>
      <c r="G16" s="109"/>
      <c r="H16" s="62"/>
      <c r="I16" s="63"/>
      <c r="J16" s="164"/>
      <c r="K16" s="115"/>
      <c r="L16" s="129"/>
      <c r="N16" s="22">
        <v>251.1</v>
      </c>
      <c r="O16" s="141">
        <f t="shared" si="1"/>
        <v>63.176759999999994</v>
      </c>
      <c r="P16" s="74"/>
      <c r="S16" s="99"/>
      <c r="T16" s="92"/>
      <c r="U16" s="93"/>
      <c r="V16" s="126"/>
      <c r="X16" s="115"/>
      <c r="Y16" s="116"/>
      <c r="Z16" s="74"/>
    </row>
    <row r="17" spans="2:26" ht="25" thickBot="1" x14ac:dyDescent="0.35">
      <c r="B17" s="57" t="s">
        <v>1</v>
      </c>
      <c r="C17" s="58">
        <v>12</v>
      </c>
      <c r="D17" s="59"/>
      <c r="E17" s="64"/>
      <c r="F17" s="61"/>
      <c r="G17" s="109"/>
      <c r="H17" s="62"/>
      <c r="I17" s="63"/>
      <c r="J17" s="164"/>
      <c r="K17" s="115"/>
      <c r="L17" s="129"/>
      <c r="N17" s="22">
        <v>183.1</v>
      </c>
      <c r="O17" s="141">
        <f t="shared" si="1"/>
        <v>46.067959999999999</v>
      </c>
      <c r="P17" s="74"/>
      <c r="S17" s="99"/>
      <c r="T17" s="94"/>
      <c r="U17" s="93"/>
      <c r="V17" s="126"/>
      <c r="X17" s="115"/>
      <c r="Y17" s="116"/>
      <c r="Z17" s="74"/>
    </row>
    <row r="18" spans="2:26" ht="24" x14ac:dyDescent="0.3">
      <c r="B18" s="36" t="s">
        <v>14</v>
      </c>
      <c r="C18" s="37"/>
      <c r="D18" s="38"/>
      <c r="E18" s="39"/>
      <c r="F18" s="38"/>
      <c r="G18" s="38"/>
      <c r="H18" s="38"/>
      <c r="I18" s="72"/>
      <c r="J18" s="165"/>
      <c r="K18" s="115"/>
      <c r="L18" s="129"/>
      <c r="N18" s="76">
        <f>SUM(N6:N17)/12</f>
        <v>569.73333333333346</v>
      </c>
      <c r="O18" s="77">
        <f t="shared" si="1"/>
        <v>143.3449066666667</v>
      </c>
      <c r="P18" s="78"/>
      <c r="S18" s="100"/>
      <c r="T18" s="39"/>
      <c r="U18" s="38"/>
      <c r="V18" s="154"/>
      <c r="X18" s="110"/>
      <c r="Y18" s="11"/>
      <c r="Z18" s="111"/>
    </row>
    <row r="19" spans="2:26" ht="25" thickBot="1" x14ac:dyDescent="0.35">
      <c r="B19" s="40" t="s">
        <v>13</v>
      </c>
      <c r="C19" s="41"/>
      <c r="D19" s="42"/>
      <c r="E19" s="43"/>
      <c r="F19" s="42"/>
      <c r="G19" s="42"/>
      <c r="H19" s="42"/>
      <c r="I19" s="73"/>
      <c r="J19" s="165"/>
      <c r="K19" s="115"/>
      <c r="L19" s="129"/>
      <c r="N19" s="79">
        <f>SUM(N6:N17)</f>
        <v>6836.8000000000011</v>
      </c>
      <c r="O19" s="80">
        <f t="shared" si="1"/>
        <v>1720.1388800000002</v>
      </c>
      <c r="P19" s="81"/>
      <c r="S19" s="101"/>
      <c r="T19" s="43"/>
      <c r="U19" s="42"/>
      <c r="V19" s="155"/>
      <c r="X19" s="156"/>
      <c r="Y19" s="157"/>
      <c r="Z19" s="158"/>
    </row>
    <row r="20" spans="2:26" ht="24" x14ac:dyDescent="0.3">
      <c r="B20" s="21" t="s">
        <v>27</v>
      </c>
      <c r="C20" s="10"/>
      <c r="D20" s="10"/>
      <c r="E20" s="10"/>
      <c r="F20" s="35" t="s">
        <v>25</v>
      </c>
      <c r="G20" s="35"/>
      <c r="H20" s="1"/>
      <c r="I20" s="5"/>
      <c r="J20" s="166"/>
      <c r="K20" s="115"/>
      <c r="L20" s="129"/>
      <c r="N20" s="7"/>
      <c r="O20" s="136"/>
      <c r="P20" s="74"/>
      <c r="S20" s="6"/>
      <c r="T20" s="138"/>
      <c r="U20" s="169"/>
      <c r="V20" s="154"/>
      <c r="X20" s="115"/>
      <c r="Y20" s="116"/>
      <c r="Z20" s="74"/>
    </row>
    <row r="21" spans="2:26" ht="25" thickBot="1" x14ac:dyDescent="0.35">
      <c r="B21" s="21" t="s">
        <v>34</v>
      </c>
      <c r="C21" s="1"/>
      <c r="D21" s="1"/>
      <c r="F21" s="44" t="s">
        <v>26</v>
      </c>
      <c r="G21" s="44"/>
      <c r="H21" s="1"/>
      <c r="I21" s="5"/>
      <c r="J21" s="166"/>
      <c r="K21" s="115"/>
      <c r="L21" s="129"/>
      <c r="N21" s="7"/>
      <c r="O21" s="136"/>
      <c r="P21" s="74"/>
      <c r="S21" s="7"/>
      <c r="T21" s="116"/>
      <c r="U21" s="153"/>
      <c r="V21" s="126"/>
      <c r="X21" s="115"/>
      <c r="Y21" s="116"/>
      <c r="Z21" s="74"/>
    </row>
    <row r="22" spans="2:26" ht="24" x14ac:dyDescent="0.3">
      <c r="B22" s="2" t="s">
        <v>28</v>
      </c>
      <c r="C22" s="11"/>
      <c r="D22" s="82" t="s">
        <v>47</v>
      </c>
      <c r="E22" s="11"/>
      <c r="F22" s="11"/>
      <c r="G22" s="45">
        <v>2581</v>
      </c>
      <c r="H22" s="46">
        <v>2730</v>
      </c>
      <c r="I22" s="4"/>
      <c r="J22" s="166"/>
      <c r="K22" s="115"/>
      <c r="L22" s="129"/>
      <c r="N22" s="7"/>
      <c r="O22" s="136"/>
      <c r="P22" s="74"/>
      <c r="S22" s="151"/>
      <c r="T22" s="116"/>
      <c r="U22" s="152"/>
      <c r="V22" s="126"/>
      <c r="X22" s="115"/>
      <c r="Y22" s="116"/>
      <c r="Z22" s="74"/>
    </row>
    <row r="23" spans="2:26" s="1" customFormat="1" ht="25" thickBot="1" x14ac:dyDescent="0.35">
      <c r="B23" s="8" t="s">
        <v>35</v>
      </c>
      <c r="C23" s="9"/>
      <c r="D23" s="9"/>
      <c r="E23" s="9"/>
      <c r="F23" s="9"/>
      <c r="G23" s="9"/>
      <c r="H23" s="47">
        <f>O19/H22</f>
        <v>0.63008750183150186</v>
      </c>
      <c r="I23" s="19"/>
      <c r="J23" s="166"/>
      <c r="K23" s="8"/>
      <c r="L23" s="130"/>
      <c r="M23" s="136"/>
      <c r="N23" s="8"/>
      <c r="O23" s="9"/>
      <c r="P23" s="19"/>
      <c r="S23" s="8"/>
      <c r="T23" s="9"/>
      <c r="U23" s="9"/>
      <c r="V23" s="127"/>
      <c r="X23" s="8"/>
      <c r="Y23" s="9"/>
      <c r="Z23" s="19"/>
    </row>
    <row r="24" spans="2:26" s="1" customFormat="1" ht="24" x14ac:dyDescent="0.3">
      <c r="B24" s="135" t="s">
        <v>52</v>
      </c>
      <c r="J24" s="159"/>
      <c r="M24" s="136"/>
    </row>
    <row r="25" spans="2:26" s="1" customFormat="1" ht="24" x14ac:dyDescent="0.3">
      <c r="J25" s="159"/>
      <c r="M25" s="136"/>
    </row>
    <row r="26" spans="2:26" s="1" customFormat="1" ht="24" x14ac:dyDescent="0.3">
      <c r="J26" s="159"/>
      <c r="M26" s="136"/>
    </row>
    <row r="27" spans="2:26" s="1" customFormat="1" ht="24" x14ac:dyDescent="0.3">
      <c r="J27" s="159"/>
      <c r="M27" s="136"/>
    </row>
    <row r="28" spans="2:26" s="1" customFormat="1" ht="24" x14ac:dyDescent="0.3">
      <c r="J28" s="159"/>
      <c r="M28" s="136"/>
    </row>
    <row r="29" spans="2:26" s="1" customFormat="1" ht="24" x14ac:dyDescent="0.3">
      <c r="J29" s="159"/>
      <c r="M29" s="136"/>
    </row>
    <row r="30" spans="2:26" s="1" customFormat="1" ht="24" x14ac:dyDescent="0.3">
      <c r="J30" s="159"/>
      <c r="M30" s="136"/>
    </row>
    <row r="31" spans="2:26" s="1" customFormat="1" ht="24" x14ac:dyDescent="0.3">
      <c r="J31" s="159"/>
      <c r="M31" s="136"/>
    </row>
    <row r="32" spans="2:26" s="1" customFormat="1" ht="24" x14ac:dyDescent="0.3">
      <c r="J32" s="159"/>
      <c r="M32" s="136"/>
    </row>
    <row r="33" spans="10:13" s="1" customFormat="1" ht="24" x14ac:dyDescent="0.3">
      <c r="J33" s="159"/>
      <c r="M33" s="136"/>
    </row>
    <row r="34" spans="10:13" s="1" customFormat="1" ht="24" x14ac:dyDescent="0.3">
      <c r="J34" s="159"/>
      <c r="M34" s="136"/>
    </row>
    <row r="35" spans="10:13" s="1" customFormat="1" ht="24" x14ac:dyDescent="0.3">
      <c r="J35" s="159"/>
      <c r="M35" s="136"/>
    </row>
    <row r="36" spans="10:13" s="1" customFormat="1" ht="24" x14ac:dyDescent="0.3">
      <c r="J36" s="159"/>
      <c r="M36" s="136"/>
    </row>
    <row r="37" spans="10:13" s="1" customFormat="1" ht="24" x14ac:dyDescent="0.3">
      <c r="J37" s="159"/>
      <c r="M37" s="136"/>
    </row>
    <row r="38" spans="10:13" s="1" customFormat="1" ht="24" x14ac:dyDescent="0.3">
      <c r="J38" s="159"/>
      <c r="M38" s="136"/>
    </row>
    <row r="39" spans="10:13" s="1" customFormat="1" ht="24" x14ac:dyDescent="0.3">
      <c r="J39" s="159"/>
      <c r="M39" s="136"/>
    </row>
    <row r="40" spans="10:13" s="1" customFormat="1" ht="24" x14ac:dyDescent="0.3">
      <c r="J40" s="159"/>
      <c r="M40" s="136"/>
    </row>
  </sheetData>
  <mergeCells count="5">
    <mergeCell ref="B4:C4"/>
    <mergeCell ref="X4:Z4"/>
    <mergeCell ref="S4:V4"/>
    <mergeCell ref="S3:Z3"/>
    <mergeCell ref="K3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Jean-Luc Kapetanovic</cp:lastModifiedBy>
  <cp:lastPrinted>2024-03-17T08:05:24Z</cp:lastPrinted>
  <dcterms:created xsi:type="dcterms:W3CDTF">2023-02-01T10:24:38Z</dcterms:created>
  <dcterms:modified xsi:type="dcterms:W3CDTF">2024-05-07T14:36:08Z</dcterms:modified>
</cp:coreProperties>
</file>